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1F29FA14-71F4-4121-AEAE-EE119624AF87}" xr6:coauthVersionLast="28" xr6:coauthVersionMax="28" xr10:uidLastSave="{00000000-0000-0000-0000-000000000000}"/>
  <bookViews>
    <workbookView xWindow="0" yWindow="0" windowWidth="22260" windowHeight="12648" activeTab="1" xr2:uid="{00000000-000D-0000-FFFF-FFFF00000000}"/>
  </bookViews>
  <sheets>
    <sheet name="Black Cubes" sheetId="1" r:id="rId1"/>
    <sheet name="Red Cubes" sheetId="2" r:id="rId2"/>
    <sheet name="Rolling Averages" sheetId="3" r:id="rId3"/>
    <sheet name="Expected Cost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I3" i="1"/>
  <c r="B10" i="3" s="1"/>
  <c r="E14" i="4" l="1"/>
  <c r="E13" i="4"/>
  <c r="E6" i="4"/>
  <c r="E7" i="4"/>
  <c r="E8" i="4"/>
  <c r="E9" i="4"/>
  <c r="E10" i="4"/>
  <c r="E11" i="4"/>
  <c r="E12" i="4"/>
  <c r="E5" i="4"/>
  <c r="E4" i="1" l="1"/>
  <c r="C10" i="3" l="1"/>
  <c r="O3" i="4" s="1"/>
  <c r="H3" i="1"/>
  <c r="P3" i="4"/>
  <c r="D7" i="2"/>
  <c r="P5" i="4" l="1"/>
  <c r="D11" i="3"/>
  <c r="C11" i="3"/>
  <c r="B11" i="3"/>
  <c r="B5" i="3"/>
  <c r="C5" i="3"/>
  <c r="G5" i="3"/>
  <c r="G5" i="2" l="1"/>
  <c r="D5" i="3" s="1"/>
  <c r="H5" i="2"/>
  <c r="E5" i="3" s="1"/>
  <c r="I5" i="2"/>
  <c r="F5" i="3" s="1"/>
  <c r="K5" i="2"/>
  <c r="H5" i="3" s="1"/>
  <c r="L5" i="2"/>
  <c r="I5" i="3" s="1"/>
  <c r="D5" i="2"/>
  <c r="M3" i="4" l="1"/>
  <c r="J5" i="3"/>
  <c r="N4" i="2"/>
  <c r="G4" i="3" l="1"/>
  <c r="D4" i="3"/>
  <c r="C2" i="4" s="1"/>
  <c r="H4" i="3"/>
  <c r="I4" i="3"/>
  <c r="E4" i="3"/>
  <c r="F4" i="3"/>
  <c r="C4" i="3"/>
  <c r="L3" i="4" s="1"/>
  <c r="M5" i="4" l="1"/>
  <c r="F12" i="4"/>
  <c r="B2" i="4"/>
  <c r="F10" i="4" s="1"/>
  <c r="J3" i="1"/>
  <c r="F11" i="4" l="1"/>
  <c r="F13" i="4"/>
  <c r="F14" i="4"/>
  <c r="F8" i="4"/>
  <c r="F6" i="4"/>
  <c r="F7" i="4"/>
  <c r="F5" i="4"/>
  <c r="I8" i="4" s="1"/>
  <c r="J8" i="4" s="1"/>
  <c r="F9" i="4"/>
  <c r="L3" i="1"/>
  <c r="K3" i="1"/>
  <c r="I6" i="4" l="1"/>
  <c r="J6" i="4" s="1"/>
  <c r="I5" i="4"/>
  <c r="J5" i="4" s="1"/>
  <c r="I7" i="4"/>
  <c r="I9" i="4" l="1"/>
  <c r="J9" i="4" s="1"/>
  <c r="I10" i="4"/>
  <c r="J10" i="4" s="1"/>
  <c r="J7" i="4"/>
  <c r="I11" i="4"/>
  <c r="J11" i="4" s="1"/>
</calcChain>
</file>

<file path=xl/sharedStrings.xml><?xml version="1.0" encoding="utf-8"?>
<sst xmlns="http://schemas.openxmlformats.org/spreadsheetml/2006/main" count="99" uniqueCount="52">
  <si>
    <t>Date</t>
  </si>
  <si>
    <t>Total</t>
  </si>
  <si>
    <t>Drop</t>
  </si>
  <si>
    <t>IGN</t>
  </si>
  <si>
    <t>Fearcely</t>
  </si>
  <si>
    <t>Drop %</t>
  </si>
  <si>
    <t>2+ LL %</t>
  </si>
  <si>
    <t>jeffim</t>
  </si>
  <si>
    <t>2 LLs</t>
  </si>
  <si>
    <t>Double drop ENC</t>
  </si>
  <si>
    <t>Double drop sale EC</t>
  </si>
  <si>
    <t>Double drop regular EC</t>
  </si>
  <si>
    <t>ENC = Expected # of cubes</t>
  </si>
  <si>
    <t>EC = Expected cost in billions</t>
  </si>
  <si>
    <t>ALL</t>
  </si>
  <si>
    <t>DEX</t>
  </si>
  <si>
    <t>INT</t>
  </si>
  <si>
    <t>LUK</t>
  </si>
  <si>
    <t>STR</t>
  </si>
  <si>
    <t>HP</t>
  </si>
  <si>
    <t>Mizeku</t>
  </si>
  <si>
    <t>Item(s)</t>
  </si>
  <si>
    <t>SS Ring</t>
  </si>
  <si>
    <t>Sup. Pend</t>
  </si>
  <si>
    <t>Sup. Pend and Sup. Ring</t>
  </si>
  <si>
    <t>SW Eye and SW Face</t>
  </si>
  <si>
    <t>Red cube rolling averages</t>
  </si>
  <si>
    <t>2+ LLs</t>
  </si>
  <si>
    <t>Black cube rolling averages</t>
  </si>
  <si>
    <t>Totals</t>
  </si>
  <si>
    <t>Wubsly</t>
  </si>
  <si>
    <t>STAT</t>
  </si>
  <si>
    <t>Line 1</t>
  </si>
  <si>
    <t>Line 2</t>
  </si>
  <si>
    <t>Line 3</t>
  </si>
  <si>
    <t>*</t>
  </si>
  <si>
    <t>Stat %</t>
  </si>
  <si>
    <t>Prb</t>
  </si>
  <si>
    <t>Cost (b)</t>
  </si>
  <si>
    <t>21+</t>
  </si>
  <si>
    <t>24+</t>
  </si>
  <si>
    <t>27+</t>
  </si>
  <si>
    <t>Reds</t>
  </si>
  <si>
    <t>Blacks</t>
  </si>
  <si>
    <t>2L Drop</t>
  </si>
  <si>
    <t>Arris</t>
  </si>
  <si>
    <t>Battousaii</t>
  </si>
  <si>
    <t>O2Shay</t>
  </si>
  <si>
    <t>hyoonn</t>
  </si>
  <si>
    <t>Ark</t>
  </si>
  <si>
    <t>Slash</t>
  </si>
  <si>
    <t>SelenikK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</si>
</sst>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2" fillId="0" borderId="0" xfId="0" applyFont="1"/>
    <xf numFmtId="165" fontId="0" fillId="0" borderId="0" xfId="0" applyNumberFormat="1"/>
    <xf numFmtId="0" fontId="3" fillId="2" borderId="2" xfId="0" applyFont="1" applyFill="1" applyBorder="1"/>
    <xf numFmtId="0" fontId="3" fillId="2" borderId="3" xfId="0" applyFont="1" applyFill="1" applyBorder="1"/>
    <xf numFmtId="14" fontId="0" fillId="0" borderId="4" xfId="0" applyNumberFormat="1" applyFont="1" applyBorder="1"/>
    <xf numFmtId="14" fontId="0" fillId="0" borderId="1" xfId="0" applyNumberFormat="1" applyFont="1" applyBorder="1"/>
    <xf numFmtId="0" fontId="0" fillId="0" borderId="0" xfId="0" applyBorder="1"/>
    <xf numFmtId="10" fontId="0" fillId="0" borderId="2" xfId="1" applyNumberFormat="1" applyFont="1" applyBorder="1"/>
    <xf numFmtId="0" fontId="4" fillId="0" borderId="0" xfId="0" applyFont="1"/>
    <xf numFmtId="0" fontId="3" fillId="2" borderId="0" xfId="0" applyFont="1" applyFill="1" applyBorder="1"/>
    <xf numFmtId="10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4">
    <dxf>
      <numFmt numFmtId="19" formatCode="m/d/yyyy"/>
    </dxf>
    <dxf>
      <numFmt numFmtId="165" formatCode="0.000"/>
    </dxf>
    <dxf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>
        <left style="thin">
          <color theme="8"/>
        </left>
        <right/>
        <top style="thin">
          <color theme="8"/>
        </top>
        <bottom style="thin">
          <color theme="8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F8" totalsRowShown="0">
  <autoFilter ref="B2:F8" xr:uid="{00000000-0009-0000-0100-000001000000}"/>
  <tableColumns count="5">
    <tableColumn id="1" xr3:uid="{00000000-0010-0000-0000-000001000000}" name="Date" dataDxfId="0"/>
    <tableColumn id="2" xr3:uid="{00000000-0010-0000-0000-000002000000}" name="Total"/>
    <tableColumn id="4" xr3:uid="{00000000-0010-0000-0000-000004000000}" name="Drop"/>
    <tableColumn id="5" xr3:uid="{00000000-0010-0000-0000-000005000000}" name="2 LLs"/>
    <tableColumn id="6" xr3:uid="{00000000-0010-0000-0000-000006000000}" name="IGN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:M27" totalsRowShown="0">
  <autoFilter ref="B2:M27" xr:uid="{00000000-0009-0000-0100-000002000000}"/>
  <tableColumns count="12">
    <tableColumn id="1" xr3:uid="{00000000-0010-0000-0100-000001000000}" name="Date" dataDxfId="3"/>
    <tableColumn id="2" xr3:uid="{00000000-0010-0000-0100-000002000000}" name="IGN"/>
    <tableColumn id="3" xr3:uid="{00000000-0010-0000-0100-000003000000}" name="Total"/>
    <tableColumn id="4" xr3:uid="{00000000-0010-0000-0100-000004000000}" name="Drop"/>
    <tableColumn id="5" xr3:uid="{00000000-0010-0000-0100-000005000000}" name="2 LLs"/>
    <tableColumn id="7" xr3:uid="{00000000-0010-0000-0100-000007000000}" name="ALL"/>
    <tableColumn id="8" xr3:uid="{00000000-0010-0000-0100-000008000000}" name="DEX"/>
    <tableColumn id="9" xr3:uid="{00000000-0010-0000-0100-000009000000}" name="INT"/>
    <tableColumn id="10" xr3:uid="{00000000-0010-0000-0100-00000A000000}" name="LUK"/>
    <tableColumn id="11" xr3:uid="{00000000-0010-0000-0100-00000B000000}" name="STR"/>
    <tableColumn id="13" xr3:uid="{00000000-0010-0000-0100-00000D000000}" name="HP"/>
    <tableColumn id="16" xr3:uid="{00000000-0010-0000-0100-000010000000}" name="Item(s)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4:F14" totalsRowShown="0">
  <autoFilter ref="B4:F14" xr:uid="{00000000-0009-0000-0100-000003000000}"/>
  <tableColumns count="5">
    <tableColumn id="1" xr3:uid="{00000000-0010-0000-0200-000001000000}" name="Line 1"/>
    <tableColumn id="2" xr3:uid="{00000000-0010-0000-0200-000002000000}" name="Line 2"/>
    <tableColumn id="3" xr3:uid="{00000000-0010-0000-0200-000003000000}" name="Line 3"/>
    <tableColumn id="4" xr3:uid="{00000000-0010-0000-0200-000004000000}" name="Stat %">
      <calculatedColumnFormula>SUM(B5:D5)</calculatedColumnFormula>
    </tableColumn>
    <tableColumn id="5" xr3:uid="{00000000-0010-0000-0200-000005000000}" name="Prb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H4:J11" totalsRowShown="0">
  <autoFilter ref="H4:J11" xr:uid="{00000000-0009-0000-0100-000004000000}"/>
  <tableColumns count="3">
    <tableColumn id="1" xr3:uid="{00000000-0010-0000-0300-000001000000}" name="Stat %"/>
    <tableColumn id="2" xr3:uid="{00000000-0010-0000-0300-000002000000}" name="Prb" dataDxfId="2" dataCellStyle="Percent">
      <calculatedColumnFormula>SUMIF(Table3[Stat %],Table4[Stat %],Table3[Prb])</calculatedColumnFormula>
    </tableColumn>
    <tableColumn id="3" xr3:uid="{00000000-0010-0000-0300-000003000000}" name="Cost (b)" dataDxfId="1">
      <calculatedColumnFormula>1/I5*12 / 1000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"/>
  <sheetViews>
    <sheetView workbookViewId="0">
      <selection activeCell="D18" sqref="D18"/>
    </sheetView>
  </sheetViews>
  <sheetFormatPr defaultRowHeight="14.4" x14ac:dyDescent="0.3"/>
  <cols>
    <col min="2" max="2" width="10.5546875" bestFit="1" customWidth="1"/>
    <col min="10" max="10" width="16.109375" bestFit="1" customWidth="1"/>
    <col min="11" max="11" width="18.88671875" bestFit="1" customWidth="1"/>
    <col min="12" max="12" width="21.6640625" bestFit="1" customWidth="1"/>
  </cols>
  <sheetData>
    <row r="1" spans="2:15" x14ac:dyDescent="0.3">
      <c r="H1" t="s">
        <v>12</v>
      </c>
      <c r="L1" t="s">
        <v>13</v>
      </c>
    </row>
    <row r="2" spans="2:15" x14ac:dyDescent="0.3">
      <c r="B2" t="s">
        <v>0</v>
      </c>
      <c r="C2" t="s">
        <v>1</v>
      </c>
      <c r="D2" t="s">
        <v>2</v>
      </c>
      <c r="E2" t="s">
        <v>8</v>
      </c>
      <c r="F2" t="s">
        <v>3</v>
      </c>
      <c r="H2" s="3" t="s">
        <v>6</v>
      </c>
      <c r="I2" s="3" t="s">
        <v>5</v>
      </c>
      <c r="J2" s="3" t="s">
        <v>9</v>
      </c>
      <c r="K2" s="3" t="s">
        <v>10</v>
      </c>
      <c r="L2" s="3" t="s">
        <v>11</v>
      </c>
      <c r="O2" s="3"/>
    </row>
    <row r="3" spans="2:15" x14ac:dyDescent="0.3">
      <c r="B3" s="1">
        <v>42804</v>
      </c>
      <c r="C3">
        <v>459</v>
      </c>
      <c r="D3">
        <v>42</v>
      </c>
      <c r="E3">
        <v>100</v>
      </c>
      <c r="F3" t="s">
        <v>4</v>
      </c>
      <c r="H3" s="2">
        <f>SUM(Table1[2 LLs])/SUM(Table1[Total])</f>
        <v>0.22369698931693105</v>
      </c>
      <c r="I3" s="2">
        <f>SUM(Table1[Drop])/SUM(Table1[Total])</f>
        <v>8.0284881838782782E-2</v>
      </c>
      <c r="J3" s="4">
        <f>1/H3/I3^2</f>
        <v>693.54128036193754</v>
      </c>
      <c r="K3" s="4">
        <f>J3*16.5/1000</f>
        <v>11.443431125971969</v>
      </c>
      <c r="L3" s="4">
        <f>J3*22/1000</f>
        <v>15.257908167962626</v>
      </c>
    </row>
    <row r="4" spans="2:15" x14ac:dyDescent="0.3">
      <c r="B4" s="1">
        <v>42819</v>
      </c>
      <c r="C4">
        <v>1137</v>
      </c>
      <c r="D4">
        <v>99</v>
      </c>
      <c r="E4">
        <f>157 +  115</f>
        <v>272</v>
      </c>
      <c r="F4" t="s">
        <v>4</v>
      </c>
    </row>
    <row r="5" spans="2:15" x14ac:dyDescent="0.3">
      <c r="B5" s="1">
        <v>43098</v>
      </c>
      <c r="C5">
        <v>436</v>
      </c>
      <c r="D5">
        <v>32</v>
      </c>
      <c r="E5">
        <v>92</v>
      </c>
      <c r="F5" t="s">
        <v>7</v>
      </c>
    </row>
    <row r="6" spans="2:15" x14ac:dyDescent="0.3">
      <c r="B6" s="1">
        <v>43098</v>
      </c>
      <c r="C6">
        <v>378</v>
      </c>
      <c r="D6">
        <v>26</v>
      </c>
      <c r="E6">
        <v>77</v>
      </c>
      <c r="F6" t="s">
        <v>51</v>
      </c>
    </row>
    <row r="7" spans="2:15" x14ac:dyDescent="0.3">
      <c r="B7" s="1">
        <v>43098</v>
      </c>
      <c r="C7">
        <v>137</v>
      </c>
      <c r="D7">
        <v>10</v>
      </c>
      <c r="E7">
        <v>32</v>
      </c>
      <c r="F7" t="s">
        <v>51</v>
      </c>
    </row>
    <row r="8" spans="2:15" x14ac:dyDescent="0.3">
      <c r="B8" s="1">
        <v>43098</v>
      </c>
      <c r="C8">
        <v>542</v>
      </c>
      <c r="D8">
        <v>39</v>
      </c>
      <c r="E8">
        <v>118</v>
      </c>
      <c r="F8" t="s">
        <v>51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7"/>
  <sheetViews>
    <sheetView tabSelected="1" zoomScale="85" zoomScaleNormal="85" workbookViewId="0">
      <selection activeCell="J31" sqref="J31"/>
    </sheetView>
  </sheetViews>
  <sheetFormatPr defaultRowHeight="14.4" x14ac:dyDescent="0.3"/>
  <cols>
    <col min="2" max="2" width="10.77734375" bestFit="1" customWidth="1"/>
    <col min="4" max="4" width="8" bestFit="1" customWidth="1"/>
    <col min="10" max="12" width="9.109375" customWidth="1"/>
    <col min="14" max="14" width="9.88671875" bestFit="1" customWidth="1"/>
  </cols>
  <sheetData>
    <row r="2" spans="2:14" x14ac:dyDescent="0.3">
      <c r="B2" t="s">
        <v>0</v>
      </c>
      <c r="C2" t="s">
        <v>3</v>
      </c>
      <c r="D2" t="s">
        <v>1</v>
      </c>
      <c r="E2" t="s">
        <v>2</v>
      </c>
      <c r="F2" t="s">
        <v>8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21</v>
      </c>
    </row>
    <row r="3" spans="2:14" x14ac:dyDescent="0.3">
      <c r="B3" s="7">
        <v>42805</v>
      </c>
      <c r="C3" t="s">
        <v>7</v>
      </c>
      <c r="D3">
        <v>336</v>
      </c>
      <c r="E3">
        <v>25</v>
      </c>
      <c r="F3">
        <v>39</v>
      </c>
      <c r="G3">
        <v>92</v>
      </c>
      <c r="H3">
        <v>122</v>
      </c>
      <c r="I3">
        <v>102</v>
      </c>
      <c r="J3">
        <v>88</v>
      </c>
      <c r="K3">
        <v>106</v>
      </c>
      <c r="L3">
        <v>138</v>
      </c>
      <c r="M3" t="s">
        <v>22</v>
      </c>
    </row>
    <row r="4" spans="2:14" x14ac:dyDescent="0.3">
      <c r="B4" s="8">
        <v>42805</v>
      </c>
      <c r="C4" s="9" t="s">
        <v>7</v>
      </c>
      <c r="D4" s="9">
        <v>152</v>
      </c>
      <c r="E4" s="9">
        <v>14</v>
      </c>
      <c r="F4" s="9">
        <v>16</v>
      </c>
      <c r="G4" s="9">
        <v>41</v>
      </c>
      <c r="H4" s="9">
        <v>47</v>
      </c>
      <c r="I4" s="9">
        <v>48</v>
      </c>
      <c r="J4" s="9">
        <v>45</v>
      </c>
      <c r="K4" s="9">
        <v>34</v>
      </c>
      <c r="L4" s="9">
        <v>63</v>
      </c>
      <c r="M4" s="9" t="s">
        <v>23</v>
      </c>
      <c r="N4" s="11">
        <f>SUM(Table2[Total])</f>
        <v>7697</v>
      </c>
    </row>
    <row r="5" spans="2:14" x14ac:dyDescent="0.3">
      <c r="B5" s="8">
        <v>42805</v>
      </c>
      <c r="C5" s="9" t="s">
        <v>20</v>
      </c>
      <c r="D5" s="9">
        <f>51+274</f>
        <v>325</v>
      </c>
      <c r="E5" s="9">
        <v>27</v>
      </c>
      <c r="F5" s="9">
        <v>32</v>
      </c>
      <c r="G5" s="9">
        <f>15+ 76</f>
        <v>91</v>
      </c>
      <c r="H5" s="9">
        <f>14 + 86</f>
        <v>100</v>
      </c>
      <c r="I5" s="9">
        <f>16 + 97</f>
        <v>113</v>
      </c>
      <c r="J5" s="9">
        <v>109</v>
      </c>
      <c r="K5" s="9">
        <f>16 + 92</f>
        <v>108</v>
      </c>
      <c r="L5" s="9">
        <f xml:space="preserve"> 18 + 94</f>
        <v>112</v>
      </c>
      <c r="M5" s="9" t="s">
        <v>24</v>
      </c>
    </row>
    <row r="6" spans="2:14" x14ac:dyDescent="0.3">
      <c r="B6" s="8">
        <v>42805</v>
      </c>
      <c r="C6" s="9" t="s">
        <v>20</v>
      </c>
      <c r="D6" s="9">
        <v>113</v>
      </c>
      <c r="E6" s="9">
        <v>6</v>
      </c>
      <c r="F6" s="9">
        <v>15</v>
      </c>
      <c r="G6" s="9">
        <v>25</v>
      </c>
      <c r="H6" s="9">
        <v>34</v>
      </c>
      <c r="I6" s="9">
        <v>35</v>
      </c>
      <c r="J6" s="9">
        <v>24</v>
      </c>
      <c r="K6" s="9">
        <v>41</v>
      </c>
      <c r="L6" s="9">
        <v>43</v>
      </c>
      <c r="M6" s="9" t="s">
        <v>25</v>
      </c>
    </row>
    <row r="7" spans="2:14" x14ac:dyDescent="0.3">
      <c r="B7" s="8">
        <v>42819</v>
      </c>
      <c r="C7" s="9" t="s">
        <v>30</v>
      </c>
      <c r="D7" s="9">
        <f>249+29</f>
        <v>278</v>
      </c>
      <c r="E7" s="9">
        <v>21</v>
      </c>
      <c r="F7" s="9">
        <v>29</v>
      </c>
      <c r="G7" s="9">
        <v>49</v>
      </c>
      <c r="H7" s="9">
        <v>103</v>
      </c>
      <c r="I7" s="9">
        <v>89</v>
      </c>
      <c r="J7" s="9">
        <v>75</v>
      </c>
      <c r="K7" s="9">
        <v>95</v>
      </c>
      <c r="L7" s="9">
        <v>107</v>
      </c>
      <c r="M7" s="9" t="s">
        <v>23</v>
      </c>
    </row>
    <row r="8" spans="2:14" x14ac:dyDescent="0.3">
      <c r="B8" s="7">
        <v>42932</v>
      </c>
      <c r="C8" t="s">
        <v>45</v>
      </c>
      <c r="D8">
        <v>101</v>
      </c>
      <c r="E8">
        <v>9</v>
      </c>
      <c r="F8">
        <v>8</v>
      </c>
      <c r="G8">
        <v>20</v>
      </c>
      <c r="H8">
        <v>40</v>
      </c>
      <c r="I8">
        <v>31</v>
      </c>
      <c r="J8">
        <v>35</v>
      </c>
      <c r="K8">
        <v>33</v>
      </c>
      <c r="L8">
        <v>33</v>
      </c>
    </row>
    <row r="9" spans="2:14" x14ac:dyDescent="0.3">
      <c r="B9" s="7">
        <v>42932</v>
      </c>
      <c r="C9" t="s">
        <v>45</v>
      </c>
      <c r="D9">
        <v>426</v>
      </c>
      <c r="E9">
        <v>41</v>
      </c>
      <c r="F9">
        <v>46</v>
      </c>
      <c r="G9">
        <v>112</v>
      </c>
      <c r="H9">
        <v>135</v>
      </c>
      <c r="I9">
        <v>127</v>
      </c>
      <c r="J9">
        <v>153</v>
      </c>
      <c r="K9">
        <v>138</v>
      </c>
      <c r="L9">
        <v>148</v>
      </c>
    </row>
    <row r="10" spans="2:14" x14ac:dyDescent="0.3">
      <c r="B10" s="7">
        <v>42932</v>
      </c>
      <c r="C10" t="s">
        <v>45</v>
      </c>
      <c r="D10">
        <v>172</v>
      </c>
      <c r="E10">
        <v>7</v>
      </c>
      <c r="F10">
        <v>11</v>
      </c>
      <c r="G10">
        <v>36</v>
      </c>
      <c r="H10">
        <v>46</v>
      </c>
      <c r="I10">
        <v>58</v>
      </c>
      <c r="J10">
        <v>68</v>
      </c>
      <c r="K10">
        <v>57</v>
      </c>
      <c r="L10">
        <v>55</v>
      </c>
    </row>
    <row r="11" spans="2:14" x14ac:dyDescent="0.3">
      <c r="B11" s="7">
        <v>42932</v>
      </c>
      <c r="C11" t="s">
        <v>46</v>
      </c>
      <c r="D11">
        <v>138</v>
      </c>
      <c r="E11">
        <v>13</v>
      </c>
      <c r="F11">
        <v>10</v>
      </c>
      <c r="G11">
        <v>40</v>
      </c>
      <c r="H11">
        <v>26</v>
      </c>
      <c r="I11">
        <v>44</v>
      </c>
      <c r="J11">
        <v>37</v>
      </c>
      <c r="K11">
        <v>53</v>
      </c>
      <c r="L11">
        <v>51</v>
      </c>
    </row>
    <row r="12" spans="2:14" x14ac:dyDescent="0.3">
      <c r="B12" s="7">
        <v>42932</v>
      </c>
      <c r="C12" t="s">
        <v>46</v>
      </c>
      <c r="D12">
        <v>313</v>
      </c>
      <c r="E12">
        <v>28</v>
      </c>
      <c r="F12">
        <v>27</v>
      </c>
      <c r="G12">
        <v>88</v>
      </c>
      <c r="H12">
        <v>71</v>
      </c>
      <c r="I12">
        <v>117</v>
      </c>
      <c r="J12">
        <v>103</v>
      </c>
      <c r="K12">
        <v>91</v>
      </c>
      <c r="L12">
        <v>117</v>
      </c>
    </row>
    <row r="13" spans="2:14" x14ac:dyDescent="0.3">
      <c r="B13" s="7">
        <v>42932</v>
      </c>
      <c r="C13" t="s">
        <v>46</v>
      </c>
      <c r="D13">
        <v>138</v>
      </c>
      <c r="E13">
        <v>10</v>
      </c>
      <c r="F13">
        <v>15</v>
      </c>
      <c r="G13">
        <v>36</v>
      </c>
      <c r="H13">
        <v>46</v>
      </c>
      <c r="I13">
        <v>48</v>
      </c>
      <c r="J13">
        <v>54</v>
      </c>
      <c r="K13">
        <v>47</v>
      </c>
      <c r="L13">
        <v>54</v>
      </c>
    </row>
    <row r="14" spans="2:14" x14ac:dyDescent="0.3">
      <c r="B14" s="7">
        <v>42932</v>
      </c>
      <c r="C14" t="s">
        <v>46</v>
      </c>
      <c r="D14">
        <v>1120</v>
      </c>
      <c r="E14">
        <v>86</v>
      </c>
      <c r="F14">
        <v>134</v>
      </c>
      <c r="G14">
        <v>267</v>
      </c>
      <c r="H14">
        <v>349</v>
      </c>
      <c r="I14">
        <v>335</v>
      </c>
      <c r="J14">
        <v>391</v>
      </c>
      <c r="K14">
        <v>331</v>
      </c>
      <c r="L14">
        <v>399</v>
      </c>
    </row>
    <row r="15" spans="2:14" x14ac:dyDescent="0.3">
      <c r="B15" s="7">
        <v>42932</v>
      </c>
      <c r="C15" t="s">
        <v>47</v>
      </c>
      <c r="D15">
        <v>346</v>
      </c>
      <c r="E15">
        <v>34</v>
      </c>
      <c r="F15">
        <v>43</v>
      </c>
      <c r="G15">
        <v>75</v>
      </c>
      <c r="H15">
        <v>116</v>
      </c>
      <c r="I15">
        <v>115</v>
      </c>
      <c r="J15">
        <v>107</v>
      </c>
      <c r="K15">
        <v>114</v>
      </c>
      <c r="L15">
        <v>101</v>
      </c>
    </row>
    <row r="16" spans="2:14" x14ac:dyDescent="0.3">
      <c r="B16" s="7">
        <v>42932</v>
      </c>
      <c r="C16" t="s">
        <v>48</v>
      </c>
      <c r="D16">
        <v>186</v>
      </c>
      <c r="E16">
        <v>17</v>
      </c>
      <c r="F16">
        <v>20</v>
      </c>
      <c r="G16">
        <v>48</v>
      </c>
      <c r="H16">
        <v>62</v>
      </c>
      <c r="I16">
        <v>63</v>
      </c>
      <c r="J16">
        <v>65</v>
      </c>
      <c r="K16">
        <v>61</v>
      </c>
      <c r="L16">
        <v>63</v>
      </c>
    </row>
    <row r="17" spans="2:13" x14ac:dyDescent="0.3">
      <c r="B17" s="7">
        <v>42932</v>
      </c>
      <c r="C17" t="s">
        <v>7</v>
      </c>
      <c r="D17">
        <v>406</v>
      </c>
      <c r="E17">
        <v>35</v>
      </c>
      <c r="F17">
        <v>52</v>
      </c>
      <c r="G17">
        <v>89</v>
      </c>
      <c r="H17">
        <v>129</v>
      </c>
      <c r="I17">
        <v>135</v>
      </c>
      <c r="J17">
        <v>137</v>
      </c>
      <c r="K17">
        <v>133</v>
      </c>
      <c r="L17">
        <v>133</v>
      </c>
    </row>
    <row r="18" spans="2:13" x14ac:dyDescent="0.3">
      <c r="B18" s="7">
        <v>42932</v>
      </c>
      <c r="C18" t="s">
        <v>7</v>
      </c>
      <c r="D18">
        <v>298</v>
      </c>
      <c r="E18">
        <v>27</v>
      </c>
      <c r="F18" s="9">
        <v>32</v>
      </c>
      <c r="G18">
        <v>77</v>
      </c>
      <c r="H18">
        <v>101</v>
      </c>
      <c r="I18">
        <v>93</v>
      </c>
      <c r="J18">
        <v>95</v>
      </c>
      <c r="K18">
        <v>86</v>
      </c>
      <c r="L18">
        <v>95</v>
      </c>
      <c r="M18" s="9"/>
    </row>
    <row r="19" spans="2:13" x14ac:dyDescent="0.3">
      <c r="B19" s="8">
        <v>43098</v>
      </c>
      <c r="C19" s="9" t="s">
        <v>50</v>
      </c>
      <c r="D19" s="9">
        <v>202</v>
      </c>
      <c r="E19">
        <v>18</v>
      </c>
      <c r="F19">
        <v>21</v>
      </c>
      <c r="G19">
        <v>53</v>
      </c>
      <c r="H19">
        <v>65</v>
      </c>
      <c r="I19">
        <v>49</v>
      </c>
      <c r="J19">
        <v>64</v>
      </c>
      <c r="K19">
        <v>48</v>
      </c>
      <c r="L19">
        <v>75</v>
      </c>
      <c r="M19" s="9"/>
    </row>
    <row r="20" spans="2:13" x14ac:dyDescent="0.3">
      <c r="B20" s="8">
        <v>43098</v>
      </c>
      <c r="C20" s="9" t="s">
        <v>50</v>
      </c>
      <c r="D20" s="9">
        <v>153</v>
      </c>
      <c r="E20">
        <v>11</v>
      </c>
      <c r="F20">
        <v>27</v>
      </c>
      <c r="G20">
        <v>32</v>
      </c>
      <c r="H20">
        <v>52</v>
      </c>
      <c r="I20">
        <v>50</v>
      </c>
      <c r="J20">
        <v>40</v>
      </c>
      <c r="K20">
        <v>42</v>
      </c>
      <c r="L20">
        <v>73</v>
      </c>
      <c r="M20" s="9"/>
    </row>
    <row r="21" spans="2:13" x14ac:dyDescent="0.3">
      <c r="B21" s="8">
        <v>43098</v>
      </c>
      <c r="C21" t="s">
        <v>47</v>
      </c>
      <c r="D21">
        <v>308</v>
      </c>
      <c r="E21">
        <v>25</v>
      </c>
      <c r="F21">
        <v>39</v>
      </c>
      <c r="G21">
        <v>85</v>
      </c>
      <c r="H21">
        <v>93</v>
      </c>
      <c r="I21">
        <v>107</v>
      </c>
      <c r="J21">
        <v>97</v>
      </c>
      <c r="K21">
        <v>90</v>
      </c>
      <c r="L21">
        <v>93</v>
      </c>
    </row>
    <row r="22" spans="2:13" x14ac:dyDescent="0.3">
      <c r="B22" s="8">
        <v>43098</v>
      </c>
      <c r="C22" t="s">
        <v>47</v>
      </c>
      <c r="D22">
        <v>193</v>
      </c>
      <c r="E22">
        <v>11</v>
      </c>
      <c r="F22">
        <v>13</v>
      </c>
      <c r="G22">
        <v>46</v>
      </c>
      <c r="H22">
        <v>64</v>
      </c>
      <c r="I22">
        <v>82</v>
      </c>
      <c r="J22">
        <v>54</v>
      </c>
      <c r="K22">
        <v>61</v>
      </c>
      <c r="L22">
        <v>71</v>
      </c>
    </row>
    <row r="23" spans="2:13" x14ac:dyDescent="0.3">
      <c r="B23" s="8">
        <v>43098</v>
      </c>
      <c r="C23" t="s">
        <v>47</v>
      </c>
      <c r="D23">
        <v>478</v>
      </c>
      <c r="E23">
        <v>48</v>
      </c>
      <c r="F23">
        <v>59</v>
      </c>
      <c r="G23">
        <v>124</v>
      </c>
      <c r="H23">
        <v>144</v>
      </c>
      <c r="I23">
        <v>153</v>
      </c>
      <c r="J23">
        <v>149</v>
      </c>
      <c r="K23">
        <v>161</v>
      </c>
      <c r="L23">
        <v>154</v>
      </c>
    </row>
    <row r="24" spans="2:13" x14ac:dyDescent="0.3">
      <c r="B24" s="8">
        <v>43098</v>
      </c>
      <c r="C24" t="s">
        <v>47</v>
      </c>
      <c r="D24">
        <v>253</v>
      </c>
      <c r="E24">
        <v>21</v>
      </c>
      <c r="F24">
        <v>39</v>
      </c>
      <c r="G24">
        <v>56</v>
      </c>
      <c r="H24">
        <v>79</v>
      </c>
      <c r="I24">
        <v>93</v>
      </c>
      <c r="J24">
        <v>82</v>
      </c>
      <c r="K24">
        <v>88</v>
      </c>
      <c r="L24">
        <v>97</v>
      </c>
    </row>
    <row r="25" spans="2:13" x14ac:dyDescent="0.3">
      <c r="B25" s="8">
        <v>43098</v>
      </c>
      <c r="C25" t="s">
        <v>47</v>
      </c>
      <c r="D25">
        <v>353</v>
      </c>
      <c r="E25">
        <v>25</v>
      </c>
      <c r="F25">
        <v>33</v>
      </c>
      <c r="G25" s="9">
        <v>99</v>
      </c>
      <c r="H25" s="9">
        <v>111</v>
      </c>
      <c r="I25" s="9">
        <v>106</v>
      </c>
      <c r="J25" s="9">
        <v>120</v>
      </c>
      <c r="K25" s="9">
        <v>91</v>
      </c>
      <c r="L25" s="9">
        <v>145</v>
      </c>
      <c r="M25" s="9"/>
    </row>
    <row r="26" spans="2:13" x14ac:dyDescent="0.3">
      <c r="B26" s="8">
        <v>43098</v>
      </c>
      <c r="C26" s="9" t="s">
        <v>49</v>
      </c>
      <c r="D26" s="9">
        <v>428</v>
      </c>
      <c r="E26">
        <v>32</v>
      </c>
      <c r="F26">
        <v>38</v>
      </c>
      <c r="G26">
        <v>122</v>
      </c>
      <c r="H26">
        <v>134</v>
      </c>
      <c r="I26">
        <v>149</v>
      </c>
      <c r="J26">
        <v>131</v>
      </c>
      <c r="K26">
        <v>126</v>
      </c>
      <c r="L26">
        <v>160</v>
      </c>
      <c r="M26" s="9"/>
    </row>
    <row r="27" spans="2:13" x14ac:dyDescent="0.3">
      <c r="B27" s="8">
        <v>43098</v>
      </c>
      <c r="C27" s="9" t="s">
        <v>51</v>
      </c>
      <c r="D27">
        <v>481</v>
      </c>
      <c r="E27" s="9">
        <v>35</v>
      </c>
      <c r="F27" s="9">
        <v>44</v>
      </c>
      <c r="G27">
        <v>125</v>
      </c>
      <c r="H27">
        <v>144</v>
      </c>
      <c r="I27">
        <v>158</v>
      </c>
      <c r="J27">
        <v>149</v>
      </c>
      <c r="K27">
        <v>165</v>
      </c>
      <c r="L27">
        <v>156</v>
      </c>
      <c r="M27" s="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>
      <selection activeCell="B5" sqref="B5"/>
    </sheetView>
  </sheetViews>
  <sheetFormatPr defaultRowHeight="14.4" x14ac:dyDescent="0.3"/>
  <sheetData>
    <row r="2" spans="1:10" x14ac:dyDescent="0.3">
      <c r="B2" s="16" t="s">
        <v>26</v>
      </c>
      <c r="C2" s="16"/>
      <c r="D2" s="16"/>
      <c r="E2" s="16"/>
      <c r="F2" s="16"/>
      <c r="G2" s="16"/>
      <c r="H2" s="16"/>
      <c r="I2" s="16"/>
      <c r="J2" s="16"/>
    </row>
    <row r="3" spans="1:10" x14ac:dyDescent="0.3">
      <c r="B3" s="5" t="s">
        <v>2</v>
      </c>
      <c r="C3" s="5" t="s">
        <v>27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6" t="s">
        <v>19</v>
      </c>
      <c r="J3" s="12" t="s">
        <v>29</v>
      </c>
    </row>
    <row r="4" spans="1:10" x14ac:dyDescent="0.3">
      <c r="B4" s="10">
        <f>SUM(Table2[Drop])/SUM(Table2[Total])</f>
        <v>8.1330388463037542E-2</v>
      </c>
      <c r="C4" s="10">
        <f>C5/'Red Cubes'!$N$4</f>
        <v>0.10939327010523581</v>
      </c>
      <c r="D4" s="10">
        <f>D5/'Red Cubes'!$N$4/3</f>
        <v>8.3495734268762722E-2</v>
      </c>
      <c r="E4" s="10">
        <f>E5/'Red Cubes'!$N$4/3</f>
        <v>0.10449958858429692</v>
      </c>
      <c r="F4" s="10">
        <f>F5/'Red Cubes'!$N$4/3</f>
        <v>0.10826729028625871</v>
      </c>
      <c r="G4" s="10">
        <f>G5/'Red Cubes'!$N$4/3</f>
        <v>0.10705469663505263</v>
      </c>
      <c r="H4" s="10">
        <f>H5/'Red Cubes'!$N$4/3</f>
        <v>0.10393659867480837</v>
      </c>
      <c r="I4" s="10">
        <f>I5/'Red Cubes'!$N$4/3</f>
        <v>0.11848772248928154</v>
      </c>
    </row>
    <row r="5" spans="1:10" x14ac:dyDescent="0.3">
      <c r="A5" t="s">
        <v>29</v>
      </c>
      <c r="B5">
        <f>SUM(Table2[Drop])</f>
        <v>626</v>
      </c>
      <c r="C5">
        <f>SUM(Table2[2 LLs])</f>
        <v>842</v>
      </c>
      <c r="D5">
        <f>SUM(Table2[ALL])</f>
        <v>1928</v>
      </c>
      <c r="E5">
        <f>SUM(Table2[DEX])</f>
        <v>2413</v>
      </c>
      <c r="F5">
        <f>SUM(Table2[INT])</f>
        <v>2500</v>
      </c>
      <c r="G5">
        <f>SUM(Table2[LUK])</f>
        <v>2472</v>
      </c>
      <c r="H5">
        <f>SUM(Table2[STR])</f>
        <v>2400</v>
      </c>
      <c r="I5">
        <f>SUM(Table2[HP])</f>
        <v>2736</v>
      </c>
      <c r="J5">
        <f>SUM(Table2[Total])</f>
        <v>7697</v>
      </c>
    </row>
    <row r="8" spans="1:10" x14ac:dyDescent="0.3">
      <c r="B8" s="16" t="s">
        <v>28</v>
      </c>
      <c r="C8" s="16"/>
      <c r="D8" s="16"/>
      <c r="E8" s="16"/>
    </row>
    <row r="9" spans="1:10" x14ac:dyDescent="0.3">
      <c r="B9" s="5" t="s">
        <v>2</v>
      </c>
      <c r="C9" s="5" t="s">
        <v>27</v>
      </c>
      <c r="D9" s="12" t="s">
        <v>1</v>
      </c>
    </row>
    <row r="10" spans="1:10" x14ac:dyDescent="0.3">
      <c r="B10" s="10">
        <f>'Black Cubes'!I3</f>
        <v>8.0284881838782782E-2</v>
      </c>
      <c r="C10" s="10">
        <f>SUM(Table1[2 LLs])/SUM(Table1[Total])</f>
        <v>0.22369698931693105</v>
      </c>
    </row>
    <row r="11" spans="1:10" x14ac:dyDescent="0.3">
      <c r="A11" t="s">
        <v>29</v>
      </c>
      <c r="B11">
        <f>SUM(Table1[Drop])</f>
        <v>248</v>
      </c>
      <c r="C11">
        <f>SUM(Table1[2 LLs])</f>
        <v>691</v>
      </c>
      <c r="D11">
        <f>SUM(Table1[Total])</f>
        <v>3089</v>
      </c>
    </row>
  </sheetData>
  <mergeCells count="2">
    <mergeCell ref="B2:J2"/>
    <mergeCell ref="B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4"/>
  <sheetViews>
    <sheetView workbookViewId="0">
      <selection activeCell="P5" sqref="P5"/>
    </sheetView>
  </sheetViews>
  <sheetFormatPr defaultRowHeight="14.4" x14ac:dyDescent="0.3"/>
  <sheetData>
    <row r="1" spans="2:16" x14ac:dyDescent="0.3">
      <c r="B1" s="3" t="s">
        <v>31</v>
      </c>
      <c r="C1" s="3" t="s">
        <v>14</v>
      </c>
      <c r="L1" s="17" t="s">
        <v>42</v>
      </c>
      <c r="M1" s="17"/>
      <c r="O1" s="18" t="s">
        <v>43</v>
      </c>
      <c r="P1" s="18"/>
    </row>
    <row r="2" spans="2:16" x14ac:dyDescent="0.3">
      <c r="B2" s="13">
        <f>AVERAGE('Rolling Averages'!E4:H4)</f>
        <v>0.10593954354510415</v>
      </c>
      <c r="C2" s="13">
        <f>'Rolling Averages'!D4</f>
        <v>8.3495734268762722E-2</v>
      </c>
      <c r="L2" t="s">
        <v>27</v>
      </c>
      <c r="M2" t="s">
        <v>2</v>
      </c>
      <c r="O2" t="s">
        <v>27</v>
      </c>
      <c r="P2" t="s">
        <v>2</v>
      </c>
    </row>
    <row r="3" spans="2:16" x14ac:dyDescent="0.3">
      <c r="L3" s="13">
        <f>SUM('Rolling Averages'!C4:C4)</f>
        <v>0.10939327010523581</v>
      </c>
      <c r="M3" s="13">
        <f>'Rolling Averages'!B4</f>
        <v>8.1330388463037542E-2</v>
      </c>
      <c r="O3" s="13">
        <f>'Rolling Averages'!C10</f>
        <v>0.22369698931693105</v>
      </c>
      <c r="P3" s="13">
        <f>'Rolling Averages'!B10</f>
        <v>8.0284881838782782E-2</v>
      </c>
    </row>
    <row r="4" spans="2:16" x14ac:dyDescent="0.3">
      <c r="B4" t="s">
        <v>32</v>
      </c>
      <c r="C4" t="s">
        <v>33</v>
      </c>
      <c r="D4" t="s">
        <v>34</v>
      </c>
      <c r="E4" t="s">
        <v>36</v>
      </c>
      <c r="F4" t="s">
        <v>37</v>
      </c>
      <c r="H4" t="s">
        <v>36</v>
      </c>
      <c r="I4" t="s">
        <v>37</v>
      </c>
      <c r="J4" t="s">
        <v>38</v>
      </c>
    </row>
    <row r="5" spans="2:16" x14ac:dyDescent="0.3">
      <c r="B5">
        <v>12</v>
      </c>
      <c r="C5">
        <v>9</v>
      </c>
      <c r="D5">
        <v>9</v>
      </c>
      <c r="E5">
        <f>SUM(B5:D5)</f>
        <v>30</v>
      </c>
      <c r="F5">
        <f>IF(Table3[[#This Row],[Line 1]]=12,$B$2,$C$2) * IF(Table3[[#This Row],[Line 2]]=9,$B$2,$C$2) * IF(Table3[[#This Row],[Line 3]]=9,$B$2,$C$2)</f>
        <v>1.1889792958819779E-3</v>
      </c>
      <c r="H5">
        <v>21</v>
      </c>
      <c r="I5" s="2">
        <f>SUMIF(Table3[Stat %],Table4[Stat %],Table3[Prb])</f>
        <v>2.3028467427414316E-2</v>
      </c>
      <c r="J5" s="4">
        <f t="shared" ref="J5:J11" si="0">1/I5*12 / 1000</f>
        <v>0.52109416476906156</v>
      </c>
      <c r="L5" t="s">
        <v>44</v>
      </c>
      <c r="M5" s="15">
        <f>1/L3/M3^2*12/1000</f>
        <v>16.583834224391936</v>
      </c>
      <c r="O5" t="s">
        <v>44</v>
      </c>
      <c r="P5" s="14">
        <f>1/(O3*P3^2)*22/1000</f>
        <v>15.257908167962626</v>
      </c>
    </row>
    <row r="6" spans="2:16" x14ac:dyDescent="0.3">
      <c r="B6">
        <v>12</v>
      </c>
      <c r="C6">
        <v>9</v>
      </c>
      <c r="D6">
        <v>6</v>
      </c>
      <c r="E6">
        <f t="shared" ref="E6:E12" si="1">SUM(B6:D6)</f>
        <v>27</v>
      </c>
      <c r="F6">
        <f>IF(Table3[[#This Row],[Line 1]]=12,$B$2,$C$2) * IF(Table3[[#This Row],[Line 2]]=9,$B$2,$C$2) * IF(Table3[[#This Row],[Line 3]]=9,$B$2,$C$2)</f>
        <v>9.3708822992762532E-4</v>
      </c>
      <c r="H6">
        <v>24</v>
      </c>
      <c r="I6" s="2">
        <f>SUMIF(Table3[Stat %],Table4[Stat %],Table3[Prb])</f>
        <v>2.2156845465105303E-3</v>
      </c>
      <c r="J6" s="4">
        <f t="shared" si="0"/>
        <v>5.4159334273909767</v>
      </c>
    </row>
    <row r="7" spans="2:16" x14ac:dyDescent="0.3">
      <c r="B7">
        <v>12</v>
      </c>
      <c r="C7">
        <v>6</v>
      </c>
      <c r="D7">
        <v>9</v>
      </c>
      <c r="E7">
        <f t="shared" si="1"/>
        <v>27</v>
      </c>
      <c r="F7">
        <f>IF(Table3[[#This Row],[Line 1]]=12,$B$2,$C$2) * IF(Table3[[#This Row],[Line 2]]=9,$B$2,$C$2) * IF(Table3[[#This Row],[Line 3]]=9,$B$2,$C$2)</f>
        <v>9.3708822992762532E-4</v>
      </c>
      <c r="H7">
        <v>27</v>
      </c>
      <c r="I7" s="2">
        <f>SUMIF(Table3[Stat %],Table4[Stat %],Table3[Prb])</f>
        <v>2.8112646897828757E-3</v>
      </c>
      <c r="J7" s="4">
        <f t="shared" si="0"/>
        <v>4.2685415014858679</v>
      </c>
    </row>
    <row r="8" spans="2:16" x14ac:dyDescent="0.3">
      <c r="B8">
        <v>12</v>
      </c>
      <c r="C8">
        <v>6</v>
      </c>
      <c r="D8">
        <v>6</v>
      </c>
      <c r="E8">
        <f t="shared" si="1"/>
        <v>24</v>
      </c>
      <c r="F8">
        <f>IF(Table3[[#This Row],[Line 1]]=12,$B$2,$C$2) * IF(Table3[[#This Row],[Line 2]]=9,$B$2,$C$2) * IF(Table3[[#This Row],[Line 3]]=9,$B$2,$C$2)</f>
        <v>7.385615155035101E-4</v>
      </c>
      <c r="H8">
        <v>30</v>
      </c>
      <c r="I8" s="2">
        <f>SUMIF(Table3[Stat %],Table4[Stat %],Table3[Prb])</f>
        <v>1.1889792958819779E-3</v>
      </c>
      <c r="J8" s="4">
        <f t="shared" si="0"/>
        <v>10.092690462787637</v>
      </c>
    </row>
    <row r="9" spans="2:16" x14ac:dyDescent="0.3">
      <c r="B9">
        <v>9</v>
      </c>
      <c r="C9">
        <v>9</v>
      </c>
      <c r="D9">
        <v>9</v>
      </c>
      <c r="E9">
        <f t="shared" si="1"/>
        <v>27</v>
      </c>
      <c r="F9">
        <f>IF(Table3[[#This Row],[Line 1]]=12,$B$2,$C$2) * IF(Table3[[#This Row],[Line 2]]=9,$B$2,$C$2) * IF(Table3[[#This Row],[Line 3]]=9,$B$2,$C$2)</f>
        <v>9.3708822992762532E-4</v>
      </c>
      <c r="H9" t="s">
        <v>39</v>
      </c>
      <c r="I9" s="2">
        <f>SUM(I5:I8)</f>
        <v>2.9244395959589699E-2</v>
      </c>
      <c r="J9" s="4">
        <f t="shared" si="0"/>
        <v>0.41033502680587969</v>
      </c>
    </row>
    <row r="10" spans="2:16" x14ac:dyDescent="0.3">
      <c r="B10">
        <v>9</v>
      </c>
      <c r="C10">
        <v>9</v>
      </c>
      <c r="D10">
        <v>6</v>
      </c>
      <c r="E10">
        <f t="shared" si="1"/>
        <v>24</v>
      </c>
      <c r="F10">
        <f>IF(Table3[[#This Row],[Line 1]]=12,$B$2,$C$2) * IF(Table3[[#This Row],[Line 2]]=9,$B$2,$C$2) * IF(Table3[[#This Row],[Line 3]]=9,$B$2,$C$2)</f>
        <v>7.385615155035101E-4</v>
      </c>
      <c r="H10" t="s">
        <v>40</v>
      </c>
      <c r="I10" s="2">
        <f>SUM(I6:I8)</f>
        <v>6.2159285321753844E-3</v>
      </c>
      <c r="J10" s="4">
        <f t="shared" si="0"/>
        <v>1.9305241265057413</v>
      </c>
    </row>
    <row r="11" spans="2:16" x14ac:dyDescent="0.3">
      <c r="B11">
        <v>9</v>
      </c>
      <c r="C11">
        <v>6</v>
      </c>
      <c r="D11">
        <v>9</v>
      </c>
      <c r="E11">
        <f t="shared" si="1"/>
        <v>24</v>
      </c>
      <c r="F11">
        <f>IF(Table3[[#This Row],[Line 1]]=12,$B$2,$C$2) * IF(Table3[[#This Row],[Line 2]]=9,$B$2,$C$2) * IF(Table3[[#This Row],[Line 3]]=9,$B$2,$C$2)</f>
        <v>7.385615155035101E-4</v>
      </c>
      <c r="H11" t="s">
        <v>41</v>
      </c>
      <c r="I11" s="2">
        <f>SUM(I7:I8)</f>
        <v>4.0002439856648541E-3</v>
      </c>
      <c r="J11" s="4">
        <f t="shared" si="0"/>
        <v>2.9998170219123672</v>
      </c>
    </row>
    <row r="12" spans="2:16" x14ac:dyDescent="0.3">
      <c r="B12">
        <v>9</v>
      </c>
      <c r="C12">
        <v>6</v>
      </c>
      <c r="D12">
        <v>6</v>
      </c>
      <c r="E12">
        <f t="shared" si="1"/>
        <v>21</v>
      </c>
      <c r="F12">
        <f>IF(Table3[[#This Row],[Line 1]]=12,$B$2,$C$2) * IF(Table3[[#This Row],[Line 2]]=9,$B$2,$C$2) * IF(Table3[[#This Row],[Line 3]]=9,$B$2,$C$2)</f>
        <v>5.82093654324279E-4</v>
      </c>
    </row>
    <row r="13" spans="2:16" x14ac:dyDescent="0.3">
      <c r="B13">
        <v>12</v>
      </c>
      <c r="C13">
        <v>9</v>
      </c>
      <c r="D13" t="s">
        <v>35</v>
      </c>
      <c r="E13">
        <f>SUM(B13:D13)</f>
        <v>21</v>
      </c>
      <c r="F13">
        <f>$B$2^2</f>
        <v>1.1223186886545019E-2</v>
      </c>
    </row>
    <row r="14" spans="2:16" x14ac:dyDescent="0.3">
      <c r="B14">
        <v>12</v>
      </c>
      <c r="C14" t="s">
        <v>35</v>
      </c>
      <c r="D14">
        <v>9</v>
      </c>
      <c r="E14">
        <f>SUM(B14:D14)</f>
        <v>21</v>
      </c>
      <c r="F14">
        <f>$B$2^2</f>
        <v>1.1223186886545019E-2</v>
      </c>
    </row>
  </sheetData>
  <mergeCells count="2">
    <mergeCell ref="L1:M1"/>
    <mergeCell ref="O1:P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Black Cubes</vt:lpstr>
      <vt:lpstr>Red Cubes</vt:lpstr>
      <vt:lpstr>Rolling Averages</vt:lpstr>
      <vt:lpstr>Expected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2018-03-15T02:07:07Z</dcterms:modified>
</cp:coreProperties>
</file>